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<sst xmlns="http://schemas.openxmlformats.org/spreadsheetml/2006/main" count="707" uniqueCount="366">
  <si>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</si>
  <si>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</si>
  <si>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</si>
  <si>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</si>
  <si>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</si>
  <si>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</si>
  <si>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</si>
  <si>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</si>
  <si>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</si>
  <si>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</si>
  <si>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</si>
  <si>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</si>
  <si>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</si>
  <si>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</si>
  <si>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</si>
  <si>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</si>
  <si>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</si>
  <si>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</si>
  <si>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</si>
  <si>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</si>
  <si>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</si>
  <si>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</si>
  <si>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</si>
  <si>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</si>
  <si>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</si>
  <si>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</si>
  <si>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</si>
  <si>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</si>
  <si>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</si>
  <si>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</si>
  <si>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</si>
  <si>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</si>
  <si>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</si>
  <si>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</si>
  <si>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</si>
  <si>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</si>
  <si>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</si>
  <si>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</si>
  <si>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</si>
  <si>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</si>
  <si>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</si>
  <si>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</si>
  <si>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</si>
  <si>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</si>
  <si>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</si>
  <si>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</si>
  <si>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</si>
  <si>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</si>
  <si>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</si>
  <si>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</si>
  <si>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</si>
  <si>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</si>
  <si>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</si>
  <si>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</si>
  <si>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</si>
  <si>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</si>
  <si>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</si>
  <si>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</si>
  <si>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</si>
  <si>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</si>
  <si>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</si>
  <si>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</si>
  <si>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</si>
  <si>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</si>
  <si>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</si>
  <si>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</si>
  <si>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</si>
  <si>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</si>
  <si>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</si>
  <si>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</si>
  <si>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</si>
  <si>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</si>
  <si>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</si>
  <si>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</si>
  <si>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</si>
  <si>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</si>
  <si>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</si>
  <si>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</si>
  <si>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</si>
  <si>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</si>
  <si>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</si>
  <si>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</si>
  <si>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</si>
  <si>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</si>
  <si>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</si>
  <si>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</si>
  <si>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</si>
  <si>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</si>
  <si>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</si>
  <si>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</si>
  <si>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</si>
  <si>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</si>
  <si>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</si>
  <si>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</si>
  <si>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</si>
  <si>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</si>
  <si>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</si>
  <si>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</si>
  <si>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</si>
  <si>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</si>
  <si>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</si>
  <si>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</si>
  <si>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</si>
  <si>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</si>
  <si>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</si>
  <si>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</si>
  <si>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</si>
  <si>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</si>
  <si>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</si>
  <si>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</si>
  <si>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</si>
  <si>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</si>
  <si>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</si>
  <si>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</si>
  <si>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</si>
  <si>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</si>
  <si>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</si>
  <si>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</si>
  <si>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</si>
  <si>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</si>
  <si>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</si>
  <si>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</si>
  <si>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</si>
  <si>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</si>
  <si>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</si>
  <si>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</si>
  <si>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</si>
  <si>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</si>
  <si>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</si>
  <si>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</si>
  <si>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</si>
  <si>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</si>
  <si>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</si>
  <si>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</si>
  <si>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</si>
  <si>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</si>
  <si>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</si>
  <si>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</si>
  <si>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</si>
  <si>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</si>
  <si>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</si>
  <si>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</si>
  <si>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</si>
  <si>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</si>
  <si>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</si>
  <si>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</si>
  <si>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</si>
  <si>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</si>
  <si>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</si>
  <si>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</si>
  <si>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</si>
  <si>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</si>
  <si>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</si>
  <si>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</si>
  <si>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</si>
  <si>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</si>
  <si>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</si>
  <si>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</si>
  <si>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</si>
  <si>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</si>
  <si>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</si>
  <si>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</si>
  <si>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</si>
  <si>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</si>
  <si>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</si>
  <si>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</si>
  <si>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</si>
  <si>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</si>
  <si>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</si>
  <si>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</si>
  <si>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</si>
  <si>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</si>
  <si>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</si>
  <si>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</si>
  <si>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</si>
  <si>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</si>
  <si>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</si>
  <si>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</si>
  <si>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</si>
  <si>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</si>
  <si>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</si>
  <si>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</si>
  <si>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</si>
  <si>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</si>
  <si>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</si>
  <si>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</si>
  <si>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</si>
  <si>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</si>
  <si>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</si>
  <si>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</si>
  <si>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</si>
  <si>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</si>
  <si>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</si>
  <si>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</si>
  <si>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</si>
  <si>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</si>
  <si>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</si>
  <si>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</si>
  <si>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</si>
  <si>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</si>
  <si>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</si>
  <si>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</si>
  <si>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</si>
  <si>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</si>
  <si>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</si>
  <si>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</si>
  <si>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</si>
  <si>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</si>
  <si>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</si>
  <si>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</si>
  <si>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</si>
  <si>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</si>
  <si>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</si>
  <si>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</si>
  <si>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</si>
  <si>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</si>
  <si>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</si>
  <si>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</si>
  <si>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</si>
  <si>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</si>
  <si>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</si>
  <si>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</si>
  <si>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</si>
  <si>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</si>
  <si>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</si>
  <si>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</si>
  <si>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</si>
  <si>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</si>
  <si>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</si>
  <si>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</si>
  <si>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</si>
  <si>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</si>
  <si>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</si>
  <si>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</si>
  <si>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</si>
  <si>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</si>
  <si>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</si>
  <si>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</si>
  <si>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</si>
  <si>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</si>
  <si>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</si>
  <si>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</si>
  <si>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</si>
  <si>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</si>
  <si>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</si>
  <si>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</si>
  <si>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</si>
  <si>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</si>
  <si>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</si>
  <si>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</si>
  <si>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</si>
  <si>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</si>
  <si>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</si>
  <si>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</si>
  <si>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</si>
  <si>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</si>
  <si>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</si>
  <si>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</si>
  <si>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</si>
  <si>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</si>
  <si>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</si>
  <si>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</si>
  <si>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</si>
  <si>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</si>
  <si>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</si>
  <si>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</si>
  <si>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</si>
  <si>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</si>
  <si>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</si>
  <si>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</si>
  <si>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</si>
  <si>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</si>
  <si>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</si>
  <si>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</si>
  <si>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</si>
  <si>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</si>
  <si>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</si>
  <si>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</si>
  <si>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</si>
  <si>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</si>
  <si>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</si>
  <si>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</si>
  <si>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</si>
  <si>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</si>
  <si>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</si>
  <si>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</si>
  <si>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</si>
  <si>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</si>
  <si>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</si>
  <si>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</si>
  <si>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</si>
  <si>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</si>
  <si>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</si>
  <si>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</si>
  <si>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</si>
  <si>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</si>
  <si>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</si>
  <si>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</si>
  <si>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</si>
  <si>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</si>
  <si>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</si>
  <si>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</si>
  <si>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</si>
  <si>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</si>
  <si>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</si>
  <si>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</si>
  <si>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</si>
  <si>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</si>
  <si>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</si>
  <si>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</si>
  <si>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</si>
  <si>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</si>
  <si>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</si>
  <si>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</si>
  <si>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</si>
  <si>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</si>
  <si>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</si>
  <si>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</si>
  <si>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</si>
  <si>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</si>
  <si>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</si>
  <si>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</si>
  <si>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</si>
  <si>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</si>
  <si>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</si>
  <si>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</si>
  <si>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</si>
  <si>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</si>
  <si>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</si>
  <si>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</si>
  <si>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</si>
  <si>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</si>
  <si>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</si>
  <si>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</si>
  <si>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</si>
  <si>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</si>
  <si>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</si>
  <si>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</si>
  <si>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</si>
  <si>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</si>
  <si>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</si>
  <si>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</si>
  <si>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</si>
  <si>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</si>
  <si>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</si>
  <si>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</si>
  <si>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</si>
  <si>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</si>
  <si>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</si>
  <si>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</si>
  <si>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</si>
  <si>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</si>
  <si>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</si>
  <si>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</si>
  <si>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</si>
  <si>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</si>
  <si>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</si>
  <si>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</si>
  <si>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</si>
  <si>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</si>
  <si>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</si>
  <si>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</si>
  <si>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</si>
  <si>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</si>
  <si>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"02"  травня  2021 р.</t>
  </si>
  <si>
    <r>
      <t>"</t>
    </r>
    <r>
      <rPr>
        <u val="single"/>
        <sz val="20"/>
        <rFont val="Arial Cyr"/>
        <family val="0"/>
      </rPr>
      <t xml:space="preserve">    30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04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</si>
</sst>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8.emf" /><Relationship Id="rId3" Type="http://schemas.openxmlformats.org/officeDocument/2006/relationships/image" Target="../media/image36.emf" /><Relationship Id="rId4" Type="http://schemas.openxmlformats.org/officeDocument/2006/relationships/image" Target="../media/image19.emf" /><Relationship Id="rId5" Type="http://schemas.openxmlformats.org/officeDocument/2006/relationships/image" Target="../media/image34.emf" /><Relationship Id="rId6" Type="http://schemas.openxmlformats.org/officeDocument/2006/relationships/image" Target="../media/image33.emf" /><Relationship Id="rId7" Type="http://schemas.openxmlformats.org/officeDocument/2006/relationships/image" Target="../media/image32.emf" /><Relationship Id="rId8" Type="http://schemas.openxmlformats.org/officeDocument/2006/relationships/image" Target="../media/image31.emf" /><Relationship Id="rId9" Type="http://schemas.openxmlformats.org/officeDocument/2006/relationships/image" Target="../media/image30.emf" /><Relationship Id="rId10" Type="http://schemas.openxmlformats.org/officeDocument/2006/relationships/image" Target="../media/image29.emf" /><Relationship Id="rId11" Type="http://schemas.openxmlformats.org/officeDocument/2006/relationships/image" Target="../media/image1.emf" /><Relationship Id="rId12" Type="http://schemas.openxmlformats.org/officeDocument/2006/relationships/image" Target="../media/image35.emf" /><Relationship Id="rId13" Type="http://schemas.openxmlformats.org/officeDocument/2006/relationships/image" Target="../media/image37.emf" /><Relationship Id="rId14" Type="http://schemas.openxmlformats.org/officeDocument/2006/relationships/image" Target="../media/image26.emf" /><Relationship Id="rId15" Type="http://schemas.openxmlformats.org/officeDocument/2006/relationships/image" Target="../media/image25.emf" /><Relationship Id="rId16" Type="http://schemas.openxmlformats.org/officeDocument/2006/relationships/image" Target="../media/image39.emf" /><Relationship Id="rId17" Type="http://schemas.openxmlformats.org/officeDocument/2006/relationships/image" Target="../media/image40.emf" /><Relationship Id="rId18" Type="http://schemas.openxmlformats.org/officeDocument/2006/relationships/image" Target="../media/image38.emf" /><Relationship Id="rId19" Type="http://schemas.openxmlformats.org/officeDocument/2006/relationships/image" Target="../media/image24.emf" /><Relationship Id="rId20" Type="http://schemas.openxmlformats.org/officeDocument/2006/relationships/image" Target="../media/image17.emf" /><Relationship Id="rId21" Type="http://schemas.openxmlformats.org/officeDocument/2006/relationships/image" Target="../media/image27.emf" /><Relationship Id="rId22" Type="http://schemas.openxmlformats.org/officeDocument/2006/relationships/image" Target="../media/image23.emf" /><Relationship Id="rId23" Type="http://schemas.openxmlformats.org/officeDocument/2006/relationships/image" Target="../media/image22.emf" /><Relationship Id="rId24" Type="http://schemas.openxmlformats.org/officeDocument/2006/relationships/image" Target="../media/image21.emf" /><Relationship Id="rId25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17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16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170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181</v>
      </c>
      <c r="AI1" s="301"/>
      <c r="AJ1" s="301"/>
      <c r="AK1" s="301"/>
      <c r="AL1" s="301"/>
      <c r="AM1" s="301"/>
      <c r="AN1" s="301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4" t="s">
        <v>168</v>
      </c>
      <c r="B2" s="295"/>
      <c r="C2" s="228" t="s">
        <v>169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182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192</v>
      </c>
      <c r="G4" s="228"/>
      <c r="H4" s="228" t="s">
        <v>193</v>
      </c>
      <c r="I4" s="228"/>
      <c r="J4" s="228"/>
      <c r="K4" s="228" t="s">
        <v>194</v>
      </c>
      <c r="L4" s="228"/>
      <c r="M4" s="228"/>
      <c r="N4" s="228" t="s">
        <v>195</v>
      </c>
      <c r="O4" s="228"/>
      <c r="P4" s="228"/>
      <c r="Q4" s="228"/>
      <c r="R4" s="228"/>
      <c r="S4" s="228"/>
      <c r="T4" s="6"/>
      <c r="U4" s="291" t="s">
        <v>171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320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189</v>
      </c>
      <c r="D6" s="278"/>
      <c r="E6" s="278"/>
      <c r="F6" s="279">
        <f>AVERAGE(завтракл,обідл,ужинл)</f>
        <v>8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364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365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190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306</v>
      </c>
      <c r="Y9" s="292"/>
      <c r="Z9" s="292"/>
      <c r="AA9" s="292"/>
      <c r="AB9" s="292"/>
      <c r="AC9" s="292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191</v>
      </c>
      <c r="D13" s="219"/>
      <c r="E13" s="219"/>
      <c r="F13" s="285">
        <f>AM181/сред</f>
        <v>94.12490399999999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177</v>
      </c>
      <c r="B18" s="197"/>
      <c r="C18" s="187"/>
      <c r="D18" s="187"/>
      <c r="E18" s="188"/>
      <c r="F18" s="198" t="s">
        <v>178</v>
      </c>
      <c r="G18" s="288" t="s">
        <v>200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288</v>
      </c>
      <c r="AJ18" s="182"/>
      <c r="AK18" s="186" t="s">
        <v>188</v>
      </c>
      <c r="AL18" s="187"/>
      <c r="AM18" s="187"/>
      <c r="AN18" s="188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176</v>
      </c>
      <c r="B19" s="202"/>
      <c r="C19" s="202"/>
      <c r="D19" s="202"/>
      <c r="E19" s="203"/>
      <c r="F19" s="199"/>
      <c r="G19" s="213" t="s">
        <v>172</v>
      </c>
      <c r="H19" s="214"/>
      <c r="I19" s="214"/>
      <c r="J19" s="214"/>
      <c r="K19" s="214"/>
      <c r="L19" s="214"/>
      <c r="M19" s="214"/>
      <c r="N19" s="215"/>
      <c r="O19" s="213" t="s">
        <v>173</v>
      </c>
      <c r="P19" s="214"/>
      <c r="Q19" s="214"/>
      <c r="R19" s="214"/>
      <c r="S19" s="214"/>
      <c r="T19" s="214"/>
      <c r="U19" s="214"/>
      <c r="V19" s="215"/>
      <c r="W19" s="287" t="s">
        <v>174</v>
      </c>
      <c r="X19" s="287"/>
      <c r="Y19" s="287"/>
      <c r="Z19" s="214" t="s">
        <v>175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120</v>
      </c>
      <c r="H21" s="110" t="s">
        <v>8</v>
      </c>
      <c r="I21" s="110" t="s">
        <v>164</v>
      </c>
      <c r="J21" s="111" t="s">
        <v>165</v>
      </c>
      <c r="K21" s="67" t="s">
        <v>11</v>
      </c>
      <c r="L21" s="67" t="s">
        <v>95</v>
      </c>
      <c r="M21" s="67" t="s">
        <v>106</v>
      </c>
      <c r="N21" s="76" t="s">
        <v>292</v>
      </c>
      <c r="O21" s="68" t="s">
        <v>361</v>
      </c>
      <c r="P21" s="67" t="s">
        <v>75</v>
      </c>
      <c r="Q21" s="68" t="s">
        <v>146</v>
      </c>
      <c r="R21" s="67" t="s">
        <v>238</v>
      </c>
      <c r="S21" s="67" t="s">
        <v>11</v>
      </c>
      <c r="T21" s="67" t="s">
        <v>286</v>
      </c>
      <c r="U21" s="67"/>
      <c r="V21" s="67"/>
      <c r="W21" s="67" t="s">
        <v>284</v>
      </c>
      <c r="X21" s="67" t="s">
        <v>9</v>
      </c>
      <c r="Y21" s="76"/>
      <c r="Z21" s="68" t="s">
        <v>319</v>
      </c>
      <c r="AA21" s="67" t="s">
        <v>113</v>
      </c>
      <c r="AB21" s="67" t="s">
        <v>312</v>
      </c>
      <c r="AC21" s="67" t="s">
        <v>10</v>
      </c>
      <c r="AD21" s="67" t="s">
        <v>11</v>
      </c>
      <c r="AE21" s="67" t="s">
        <v>108</v>
      </c>
      <c r="AF21" s="67" t="s">
        <v>98</v>
      </c>
      <c r="AG21" s="76"/>
      <c r="AH21" s="146"/>
      <c r="AI21" s="177"/>
      <c r="AJ21" s="185"/>
      <c r="AK21" s="177" t="s">
        <v>289</v>
      </c>
      <c r="AL21" s="178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179</v>
      </c>
      <c r="B23" s="210"/>
      <c r="C23" s="210"/>
      <c r="D23" s="210"/>
      <c r="E23" s="210"/>
      <c r="F23" s="66" t="s">
        <v>1</v>
      </c>
      <c r="G23" s="89">
        <v>8</v>
      </c>
      <c r="H23" s="20">
        <f>G23</f>
        <v>8</v>
      </c>
      <c r="I23" s="20">
        <f>G23</f>
        <v>8</v>
      </c>
      <c r="J23" s="20">
        <f>G23</f>
        <v>8</v>
      </c>
      <c r="K23" s="20">
        <f>G23</f>
        <v>8</v>
      </c>
      <c r="L23" s="20">
        <f>G23</f>
        <v>8</v>
      </c>
      <c r="M23" s="20">
        <f>G23</f>
        <v>8</v>
      </c>
      <c r="N23" s="70">
        <f>G23</f>
        <v>8</v>
      </c>
      <c r="O23" s="21">
        <v>8</v>
      </c>
      <c r="P23" s="20">
        <f aca="true" t="shared" si="0" ref="P23:V23">O23</f>
        <v>8</v>
      </c>
      <c r="Q23" s="21">
        <f t="shared" si="0"/>
        <v>8</v>
      </c>
      <c r="R23" s="20">
        <f t="shared" si="0"/>
        <v>8</v>
      </c>
      <c r="S23" s="20">
        <f t="shared" si="0"/>
        <v>8</v>
      </c>
      <c r="T23" s="20">
        <f t="shared" si="0"/>
        <v>8</v>
      </c>
      <c r="U23" s="20">
        <f t="shared" si="0"/>
        <v>8</v>
      </c>
      <c r="V23" s="20">
        <f t="shared" si="0"/>
        <v>8</v>
      </c>
      <c r="W23" s="20">
        <v>8</v>
      </c>
      <c r="X23" s="20">
        <f>W23</f>
        <v>8</v>
      </c>
      <c r="Y23" s="70">
        <f>X23</f>
        <v>8</v>
      </c>
      <c r="Z23" s="21">
        <v>8</v>
      </c>
      <c r="AA23" s="20">
        <f>Z23</f>
        <v>8</v>
      </c>
      <c r="AB23" s="20">
        <f aca="true" t="shared" si="1" ref="AB23:AG23">AA23</f>
        <v>8</v>
      </c>
      <c r="AC23" s="20">
        <f t="shared" si="1"/>
        <v>8</v>
      </c>
      <c r="AD23" s="20">
        <f t="shared" si="1"/>
        <v>8</v>
      </c>
      <c r="AE23" s="20">
        <f t="shared" si="1"/>
        <v>8</v>
      </c>
      <c r="AF23" s="20">
        <f t="shared" si="1"/>
        <v>8</v>
      </c>
      <c r="AG23" s="70">
        <f t="shared" si="1"/>
        <v>8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180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>
        <v>49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260</v>
      </c>
      <c r="N24" s="71">
        <v>50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150</v>
      </c>
      <c r="Q24" s="40" t="str">
        <f>IF(обед3="хліб житній",DU2,(IF(обед3="хліб пшеничний",DT2,(VLOOKUP(обед3,таб,67,FALSE)))))</f>
        <v>100/50</v>
      </c>
      <c r="R24" s="40" t="s">
        <v>297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90</v>
      </c>
      <c r="X24" s="40">
        <f>VLOOKUP(полдник2,таб,67,FALSE)</f>
        <v>200</v>
      </c>
      <c r="Y24" s="71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 t="str">
        <f>IF(ужин7="хліб житній",DW2,(IF(ужин7="хліб пшеничний",DV2,(VLOOKUP(ужин7,таб,67,FALSE)))))</f>
        <v>1шт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13</v>
      </c>
      <c r="B25" s="195"/>
      <c r="C25" s="195"/>
      <c r="D25" s="195"/>
      <c r="E25" s="196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/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197</v>
      </c>
      <c r="G26" s="92">
        <f aca="true" t="shared" si="2" ref="G26:M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/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/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0.16</v>
      </c>
      <c r="AJ27" s="168"/>
      <c r="AK27" s="163">
        <f>SUM(G28:AG28)</f>
        <v>1.28</v>
      </c>
      <c r="AL27" s="164"/>
      <c r="AM27" s="156">
        <f>IF(AK27=0,0,AS117)</f>
        <v>117.5</v>
      </c>
      <c r="AN27" s="158">
        <f>AK27*AM27</f>
        <v>150.4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197</v>
      </c>
      <c r="G28" s="92">
        <f aca="true" t="shared" si="5" ref="G28:M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/>
      <c r="O28" s="48">
        <f aca="true" t="shared" si="6" ref="O28:T28">IF(O27=0,"",обідл*O27/1000)</f>
      </c>
      <c r="P28" s="46">
        <f t="shared" si="6"/>
      </c>
      <c r="Q28" s="47">
        <f t="shared" si="6"/>
        <v>1.28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14</v>
      </c>
      <c r="B29" s="264"/>
      <c r="C29" s="264"/>
      <c r="D29" s="264"/>
      <c r="E29" s="26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/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</v>
      </c>
      <c r="AJ29" s="168"/>
      <c r="AK29" s="163">
        <f>SUM(G30:AG30)</f>
        <v>0</v>
      </c>
      <c r="AL29" s="164"/>
      <c r="AM29" s="156">
        <f>IF(AK29=0,0,AT117)</f>
        <v>0</v>
      </c>
      <c r="AN29" s="158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197</v>
      </c>
      <c r="G30" s="92">
        <f aca="true" t="shared" si="8" ref="G30:M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/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254</v>
      </c>
      <c r="B31" s="195"/>
      <c r="C31" s="195"/>
      <c r="D31" s="195"/>
      <c r="E31" s="196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/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197</v>
      </c>
      <c r="G32" s="92">
        <f aca="true" t="shared" si="11" ref="G32:M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/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15</v>
      </c>
      <c r="B33" s="195"/>
      <c r="C33" s="195"/>
      <c r="D33" s="195"/>
      <c r="E33" s="196"/>
      <c r="F33" s="83" t="s">
        <v>196</v>
      </c>
      <c r="G33" s="91">
        <f>VLOOKUP(завтрак1,таб,6,FALSE)</f>
        <v>0</v>
      </c>
      <c r="H33" s="29">
        <v>49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/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0.049</v>
      </c>
      <c r="AJ33" s="168"/>
      <c r="AK33" s="163">
        <f>SUM(G34:AG34)</f>
        <v>0.392</v>
      </c>
      <c r="AL33" s="164"/>
      <c r="AM33" s="156">
        <f>IF(AK33=0,0,AV117)</f>
        <v>98.2</v>
      </c>
      <c r="AN33" s="158">
        <f>AK33*AM33</f>
        <v>38.494400000000006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197</v>
      </c>
      <c r="G34" s="92">
        <f aca="true" t="shared" si="14" ref="G34:M34">IF(G33=0,"",завтракл*G33/1000)</f>
      </c>
      <c r="H34" s="47">
        <f t="shared" si="14"/>
        <v>0.392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/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/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197</v>
      </c>
      <c r="G36" s="92">
        <f aca="true" t="shared" si="17" ref="G36:M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/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17</v>
      </c>
      <c r="B37" s="195"/>
      <c r="C37" s="195"/>
      <c r="D37" s="195"/>
      <c r="E37" s="196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/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0.08</v>
      </c>
      <c r="AJ37" s="168"/>
      <c r="AK37" s="163">
        <f>SUM(G38:AG38)</f>
        <v>0.64</v>
      </c>
      <c r="AL37" s="164"/>
      <c r="AM37" s="156">
        <f>IF(AK37=0,0,AX117)</f>
        <v>57.16</v>
      </c>
      <c r="AN37" s="158">
        <f>AK37*AM37</f>
        <v>36.5824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197</v>
      </c>
      <c r="G38" s="92">
        <f aca="true" t="shared" si="20" ref="G38:M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/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0.64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255</v>
      </c>
      <c r="B39" s="195"/>
      <c r="C39" s="195"/>
      <c r="D39" s="195"/>
      <c r="E39" s="196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/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197</v>
      </c>
      <c r="G40" s="92">
        <f aca="true" t="shared" si="23" ref="G40:M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/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18</v>
      </c>
      <c r="B41" s="195"/>
      <c r="C41" s="195"/>
      <c r="D41" s="195"/>
      <c r="E41" s="196"/>
      <c r="F41" s="83" t="s">
        <v>196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/>
      <c r="O41" s="30">
        <v>10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v>5</v>
      </c>
      <c r="X41" s="28">
        <f>VLOOKUP(полдник2,таб,10,FALSE)</f>
        <v>0</v>
      </c>
      <c r="Y41" s="72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0.05199999999999999</v>
      </c>
      <c r="AJ41" s="168"/>
      <c r="AK41" s="163">
        <f>SUM(G42:AG42)</f>
        <v>0.4159999999999999</v>
      </c>
      <c r="AL41" s="164"/>
      <c r="AM41" s="156">
        <f>IF(AK41=0,0,AZ117)</f>
        <v>165.332</v>
      </c>
      <c r="AN41" s="158">
        <f>AK41*AM41</f>
        <v>68.77811199999998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197</v>
      </c>
      <c r="G42" s="92">
        <f aca="true" t="shared" si="26" ref="G42:M42">IF(G41=0,"",завтракл*G41/1000)</f>
        <v>0.056</v>
      </c>
      <c r="H42" s="47">
        <f t="shared" si="26"/>
      </c>
      <c r="I42" s="46">
        <f t="shared" si="26"/>
        <v>0.16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/>
      <c r="O42" s="48">
        <f aca="true" t="shared" si="27" ref="O42:T42">IF(O41=0,"",обідл*O41/1000)</f>
        <v>0.08</v>
      </c>
      <c r="P42" s="46">
        <f t="shared" si="27"/>
        <v>0.04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0.04</v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0.04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19</v>
      </c>
      <c r="B43" s="195"/>
      <c r="C43" s="195"/>
      <c r="D43" s="195"/>
      <c r="E43" s="196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/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197</v>
      </c>
      <c r="G44" s="92">
        <f aca="true" t="shared" si="29" ref="G44:M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/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/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197</v>
      </c>
      <c r="G46" s="93">
        <f aca="true" t="shared" si="32" ref="G46:M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/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20</v>
      </c>
      <c r="B47" s="195"/>
      <c r="C47" s="195"/>
      <c r="D47" s="195"/>
      <c r="E47" s="196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/>
      <c r="O47" s="30">
        <v>6</v>
      </c>
      <c r="P47" s="28">
        <f>VLOOKUP(обед2,таб,13,FALSE)</f>
        <v>0</v>
      </c>
      <c r="Q47" s="29">
        <v>4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4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0.020000000000000004</v>
      </c>
      <c r="AJ47" s="168"/>
      <c r="AK47" s="163">
        <f>SUM(G48:AG48)</f>
        <v>0.16000000000000003</v>
      </c>
      <c r="AL47" s="164"/>
      <c r="AM47" s="156">
        <f>IF(AK47=0,0,BC117)</f>
        <v>44</v>
      </c>
      <c r="AN47" s="158">
        <f>AK47*AM47</f>
        <v>7.040000000000001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197</v>
      </c>
      <c r="G48" s="92">
        <f aca="true" t="shared" si="35" ref="G48:M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/>
      <c r="O48" s="48">
        <f aca="true" t="shared" si="36" ref="O48:T48">IF(O47=0,"",обідл*O47/1000)</f>
        <v>0.048</v>
      </c>
      <c r="P48" s="46">
        <f t="shared" si="36"/>
      </c>
      <c r="Q48" s="47">
        <f t="shared" si="36"/>
        <v>0.032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0.032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0.032</v>
      </c>
      <c r="AB48" s="46">
        <f t="shared" si="37"/>
        <v>0.016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21</v>
      </c>
      <c r="B49" s="195"/>
      <c r="C49" s="195"/>
      <c r="D49" s="195"/>
      <c r="E49" s="196"/>
      <c r="F49" s="83" t="s">
        <v>196</v>
      </c>
      <c r="G49" s="94">
        <v>269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/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/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0.401</v>
      </c>
      <c r="AJ49" s="168"/>
      <c r="AK49" s="163">
        <f>SUM(G50:AG50)</f>
        <v>3.208</v>
      </c>
      <c r="AL49" s="164"/>
      <c r="AM49" s="156">
        <f>IF(AK49=0,0,BD117)</f>
        <v>18.8</v>
      </c>
      <c r="AN49" s="158">
        <f>AK49*AM49</f>
        <v>60.31040000000001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197</v>
      </c>
      <c r="G50" s="93">
        <f aca="true" t="shared" si="38" ref="G50:M50">IF(G49=0,"",завтракл*G49/1000)</f>
        <v>2.152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0.8</v>
      </c>
      <c r="M50" s="46">
        <f t="shared" si="38"/>
      </c>
      <c r="N50" s="73"/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  <v>0.256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22</v>
      </c>
      <c r="B51" s="195"/>
      <c r="C51" s="195"/>
      <c r="D51" s="195"/>
      <c r="E51" s="196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/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197</v>
      </c>
      <c r="G52" s="92">
        <f aca="true" t="shared" si="41" ref="G52:M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/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23</v>
      </c>
      <c r="B53" s="264"/>
      <c r="C53" s="264"/>
      <c r="D53" s="264"/>
      <c r="E53" s="26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/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0.208</v>
      </c>
      <c r="AJ53" s="168"/>
      <c r="AK53" s="163">
        <f>SUM(G54:AG54)</f>
        <v>1.664</v>
      </c>
      <c r="AL53" s="164"/>
      <c r="AM53" s="156">
        <f>IF(AK53=0,0,BF117)</f>
        <v>24.53</v>
      </c>
      <c r="AN53" s="158">
        <f>AK53*AM53</f>
        <v>40.81792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197</v>
      </c>
      <c r="G54" s="93">
        <f aca="true" t="shared" si="44" ref="G54:M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/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1.664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24</v>
      </c>
      <c r="B55" s="195"/>
      <c r="C55" s="195"/>
      <c r="D55" s="195"/>
      <c r="E55" s="196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/>
      <c r="O55" s="36"/>
      <c r="P55" s="35">
        <f>VLOOKUP(обед2,таб,17,FALSE)</f>
        <v>0</v>
      </c>
      <c r="Q55" s="34">
        <f>VLOOKUP(обед3,таб,17,FALSE)</f>
        <v>0</v>
      </c>
      <c r="R55" s="35">
        <v>25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0.025</v>
      </c>
      <c r="AJ55" s="168"/>
      <c r="AK55" s="163">
        <f>SUM(G56:AG56)</f>
        <v>0.2</v>
      </c>
      <c r="AL55" s="164"/>
      <c r="AM55" s="156">
        <f>IF(AK55=0,0,BG117)</f>
        <v>63.86</v>
      </c>
      <c r="AN55" s="158">
        <f>AK55*AM55</f>
        <v>12.772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197</v>
      </c>
      <c r="G56" s="92">
        <f aca="true" t="shared" si="47" ref="G56:M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/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  <v>0.2</v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25</v>
      </c>
      <c r="B57" s="264"/>
      <c r="C57" s="264"/>
      <c r="D57" s="264"/>
      <c r="E57" s="26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/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</v>
      </c>
      <c r="AJ57" s="168"/>
      <c r="AK57" s="163">
        <f>SUM(G58:AG58)</f>
        <v>0</v>
      </c>
      <c r="AL57" s="164"/>
      <c r="AM57" s="156">
        <f>IF(AK57=0,0,BH117)</f>
        <v>0</v>
      </c>
      <c r="AN57" s="158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197</v>
      </c>
      <c r="G58" s="93">
        <f aca="true" t="shared" si="50" ref="G58:M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/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26</v>
      </c>
      <c r="B59" s="195"/>
      <c r="C59" s="195"/>
      <c r="D59" s="195"/>
      <c r="E59" s="196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/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</v>
      </c>
      <c r="AJ59" s="168"/>
      <c r="AK59" s="163">
        <f>SUM(G60:AG60)</f>
        <v>0.16</v>
      </c>
      <c r="AL59" s="164"/>
      <c r="AM59" s="156">
        <f>IF(AK59=0,0,BI117)</f>
        <v>128</v>
      </c>
      <c r="AN59" s="158">
        <f>AK59*AM59</f>
        <v>20.48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197</v>
      </c>
      <c r="G60" s="92">
        <f aca="true" t="shared" si="53" ref="G60:M60">IF(G59=0,"",завтракл*G59/1000)</f>
      </c>
      <c r="H60" s="47">
        <f t="shared" si="53"/>
      </c>
      <c r="I60" s="46">
        <f t="shared" si="53"/>
      </c>
      <c r="J60" s="47">
        <f t="shared" si="53"/>
        <v>0.16</v>
      </c>
      <c r="K60" s="46">
        <f t="shared" si="53"/>
      </c>
      <c r="L60" s="46">
        <f t="shared" si="53"/>
      </c>
      <c r="M60" s="46">
        <f t="shared" si="53"/>
      </c>
      <c r="N60" s="73"/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27</v>
      </c>
      <c r="B61" s="195"/>
      <c r="C61" s="195"/>
      <c r="D61" s="195"/>
      <c r="E61" s="196"/>
      <c r="F61" s="83" t="s">
        <v>201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/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1</v>
      </c>
      <c r="AG61" s="80">
        <f>VLOOKUP(ужин8,таб,20,FALSE)</f>
        <v>0</v>
      </c>
      <c r="AH61" s="160">
        <v>612064</v>
      </c>
      <c r="AI61" s="167">
        <f>AK61/сред</f>
        <v>1.1</v>
      </c>
      <c r="AJ61" s="168"/>
      <c r="AK61" s="169">
        <f>SUM(G62:AG62)</f>
        <v>8.8</v>
      </c>
      <c r="AL61" s="170"/>
      <c r="AM61" s="156">
        <f>IF(AK61=0,0,BJ117)</f>
        <v>2.7</v>
      </c>
      <c r="AN61" s="158">
        <f>AK61*AM61</f>
        <v>23.760000000000005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201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/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0.8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  <v>8</v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363</v>
      </c>
      <c r="B63" s="264"/>
      <c r="C63" s="264"/>
      <c r="D63" s="264"/>
      <c r="E63" s="26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/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</v>
      </c>
      <c r="AJ63" s="168"/>
      <c r="AK63" s="163">
        <f>SUM(G64:AG64)</f>
        <v>0</v>
      </c>
      <c r="AL63" s="164"/>
      <c r="AM63" s="156">
        <f>IF(AK63=0,0,BK117)</f>
        <v>0</v>
      </c>
      <c r="AN63" s="158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197</v>
      </c>
      <c r="G64" s="93">
        <f aca="true" t="shared" si="59" ref="G64:M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/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133</v>
      </c>
      <c r="B65" s="195"/>
      <c r="C65" s="195"/>
      <c r="D65" s="195"/>
      <c r="E65" s="196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/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4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60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0.064</v>
      </c>
      <c r="AJ65" s="168"/>
      <c r="AK65" s="163">
        <f>SUM(G66:AG66)</f>
        <v>0.512</v>
      </c>
      <c r="AL65" s="164"/>
      <c r="AM65" s="156">
        <f>IF(AK65=0,0,BL117)</f>
        <v>11.4</v>
      </c>
      <c r="AN65" s="158">
        <f>AK65*AM65</f>
        <v>5.8368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197</v>
      </c>
      <c r="G66" s="92">
        <f aca="true" t="shared" si="62" ref="G66:M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/>
      <c r="O66" s="48">
        <f aca="true" t="shared" si="63" ref="O66:T66">IF(O65=0,"",обідл*O65/1000)</f>
      </c>
      <c r="P66" s="46">
        <f t="shared" si="63"/>
      </c>
      <c r="Q66" s="47">
        <f t="shared" si="63"/>
        <v>0.032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0.48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28</v>
      </c>
      <c r="B67" s="264"/>
      <c r="C67" s="264"/>
      <c r="D67" s="264"/>
      <c r="E67" s="26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/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</v>
      </c>
      <c r="AJ67" s="168"/>
      <c r="AK67" s="163">
        <f>SUM(G68:AG68)</f>
        <v>0</v>
      </c>
      <c r="AL67" s="164"/>
      <c r="AM67" s="156">
        <f>IF(AK67=0,0,BM117)</f>
        <v>0</v>
      </c>
      <c r="AN67" s="158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197</v>
      </c>
      <c r="G68" s="93">
        <f aca="true" t="shared" si="65" ref="G68:M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/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29</v>
      </c>
      <c r="B69" s="195"/>
      <c r="C69" s="195"/>
      <c r="D69" s="195"/>
      <c r="E69" s="196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/>
      <c r="O69" s="36">
        <f>VLOOKUP(обед1,таб,24,FALSE)</f>
        <v>0</v>
      </c>
      <c r="P69" s="35">
        <f>VLOOKUP(обед2,таб,24,FALSE)</f>
        <v>72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0.072</v>
      </c>
      <c r="AJ69" s="168"/>
      <c r="AK69" s="163">
        <f>SUM(G70:AG70)</f>
        <v>0.576</v>
      </c>
      <c r="AL69" s="164"/>
      <c r="AM69" s="156">
        <f>IF(AK69=0,0,BN117)</f>
        <v>36.7</v>
      </c>
      <c r="AN69" s="158">
        <f>AK69*AM69</f>
        <v>21.1392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197</v>
      </c>
      <c r="G70" s="92">
        <f aca="true" t="shared" si="68" ref="G70:M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/>
      <c r="O70" s="48">
        <f aca="true" t="shared" si="69" ref="O70:T70">IF(O69=0,"",обідл*O69/1000)</f>
      </c>
      <c r="P70" s="46">
        <f t="shared" si="69"/>
        <v>0.576</v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30</v>
      </c>
      <c r="B71" s="264"/>
      <c r="C71" s="264"/>
      <c r="D71" s="264"/>
      <c r="E71" s="265"/>
      <c r="F71" s="83" t="s">
        <v>196</v>
      </c>
      <c r="G71" s="94">
        <v>35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/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0.035</v>
      </c>
      <c r="AJ71" s="168"/>
      <c r="AK71" s="163">
        <f>SUM(G72:AG72)</f>
        <v>0.28</v>
      </c>
      <c r="AL71" s="164"/>
      <c r="AM71" s="156">
        <f>IF(AK71=0,0,BO117)</f>
        <v>16.1</v>
      </c>
      <c r="AN71" s="158">
        <f>AK71*AM71</f>
        <v>4.508000000000001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197</v>
      </c>
      <c r="G72" s="93">
        <f aca="true" t="shared" si="71" ref="G72:M72">IF(G71=0,"",завтракл*G71/1000)</f>
        <v>0.28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/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34</v>
      </c>
      <c r="B73" s="195"/>
      <c r="C73" s="195"/>
      <c r="D73" s="195"/>
      <c r="E73" s="196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/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</v>
      </c>
      <c r="AJ73" s="168"/>
      <c r="AK73" s="163">
        <f>SUM(G74:AG74)</f>
        <v>0</v>
      </c>
      <c r="AL73" s="164"/>
      <c r="AM73" s="156">
        <f>IF(AK73=0,0,BP117)</f>
        <v>0</v>
      </c>
      <c r="AN73" s="158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197</v>
      </c>
      <c r="G74" s="92">
        <f aca="true" t="shared" si="74" ref="G74:M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/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150</v>
      </c>
      <c r="B75" s="195"/>
      <c r="C75" s="195"/>
      <c r="D75" s="195"/>
      <c r="E75" s="196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/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197</v>
      </c>
      <c r="G76" s="92">
        <f aca="true" t="shared" si="77" ref="G76:M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/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151</v>
      </c>
      <c r="B77" s="264"/>
      <c r="C77" s="264"/>
      <c r="D77" s="264"/>
      <c r="E77" s="26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/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197</v>
      </c>
      <c r="G78" s="93">
        <f aca="true" t="shared" si="80" ref="G78:M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/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152</v>
      </c>
      <c r="B79" s="195"/>
      <c r="C79" s="195"/>
      <c r="D79" s="195"/>
      <c r="E79" s="196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/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197</v>
      </c>
      <c r="G80" s="92">
        <f aca="true" t="shared" si="83" ref="G80:M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/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31</v>
      </c>
      <c r="B81" s="264"/>
      <c r="C81" s="264"/>
      <c r="D81" s="264"/>
      <c r="E81" s="26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/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197</v>
      </c>
      <c r="G82" s="93">
        <f aca="true" t="shared" si="86" ref="G82:M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/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33</v>
      </c>
      <c r="B83" s="195"/>
      <c r="C83" s="195"/>
      <c r="D83" s="195"/>
      <c r="E83" s="196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/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</v>
      </c>
      <c r="AJ83" s="168"/>
      <c r="AK83" s="163">
        <f>SUM(G84:AG84)</f>
        <v>0</v>
      </c>
      <c r="AL83" s="164"/>
      <c r="AM83" s="156">
        <f>IF(AK83=0,0,BR117)</f>
        <v>0</v>
      </c>
      <c r="AN83" s="158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197</v>
      </c>
      <c r="G84" s="92">
        <f aca="true" t="shared" si="89" ref="G84:M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/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32</v>
      </c>
      <c r="B85" s="264"/>
      <c r="C85" s="264"/>
      <c r="D85" s="264"/>
      <c r="E85" s="26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/>
      <c r="O85" s="39">
        <f>VLOOKUP(обед1,таб,29,FALSE)</f>
        <v>16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0.016</v>
      </c>
      <c r="AJ85" s="168"/>
      <c r="AK85" s="163">
        <f>SUM(G86:AG86)</f>
        <v>0.128</v>
      </c>
      <c r="AL85" s="164"/>
      <c r="AM85" s="156">
        <f>IF(AK85=0,0,BS117)</f>
        <v>17</v>
      </c>
      <c r="AN85" s="158">
        <f>AK85*AM85</f>
        <v>2.176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197</v>
      </c>
      <c r="G86" s="93">
        <f aca="true" t="shared" si="92" ref="G86:M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/>
      <c r="O86" s="50">
        <f aca="true" t="shared" si="93" ref="O86:T86">IF(O85=0,"",обідл*O85/1000)</f>
        <v>0.128</v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332</v>
      </c>
      <c r="B87" s="195"/>
      <c r="C87" s="195"/>
      <c r="D87" s="195"/>
      <c r="E87" s="196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/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197</v>
      </c>
      <c r="G88" s="92">
        <f aca="true" t="shared" si="95" ref="G88:M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/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/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197</v>
      </c>
      <c r="G92" s="93">
        <f aca="true" t="shared" si="98" ref="G92:M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/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351</v>
      </c>
      <c r="B93" s="195"/>
      <c r="C93" s="195"/>
      <c r="D93" s="195"/>
      <c r="E93" s="196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/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197</v>
      </c>
      <c r="G94" s="92">
        <f aca="true" t="shared" si="101" ref="G94:M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/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262</v>
      </c>
      <c r="B95" s="264"/>
      <c r="C95" s="264"/>
      <c r="D95" s="264"/>
      <c r="E95" s="26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/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197</v>
      </c>
      <c r="G96" s="93">
        <f aca="true" t="shared" si="104" ref="G96:M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/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35</v>
      </c>
      <c r="B97" s="195"/>
      <c r="C97" s="195"/>
      <c r="D97" s="195"/>
      <c r="E97" s="196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/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20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18</v>
      </c>
      <c r="AF97" s="35"/>
      <c r="AG97" s="80">
        <f>VLOOKUP(ужин8,таб,33,FALSE)</f>
        <v>0</v>
      </c>
      <c r="AH97" s="160">
        <v>614002</v>
      </c>
      <c r="AI97" s="167">
        <f>AK97/сред</f>
        <v>0.07</v>
      </c>
      <c r="AJ97" s="168"/>
      <c r="AK97" s="163">
        <f>SUM(G98:AG98)</f>
        <v>0.56</v>
      </c>
      <c r="AL97" s="164"/>
      <c r="AM97" s="156">
        <f>IF(AK97=0,0,BW117)</f>
        <v>21</v>
      </c>
      <c r="AN97" s="158">
        <f>AK97*AM97</f>
        <v>11.760000000000002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197</v>
      </c>
      <c r="G98" s="92">
        <f aca="true" t="shared" si="107" ref="G98:M98">IF(G97=0,"",завтракл*G97/1000)</f>
        <v>0.08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0.16</v>
      </c>
      <c r="M98" s="46">
        <f t="shared" si="107"/>
      </c>
      <c r="N98" s="73"/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0.16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  <v>0.016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0.144</v>
      </c>
      <c r="AF98" s="46">
        <f t="shared" si="109"/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37</v>
      </c>
      <c r="B99" s="264"/>
      <c r="C99" s="264"/>
      <c r="D99" s="264"/>
      <c r="E99" s="26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/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197</v>
      </c>
      <c r="G100" s="93">
        <f aca="true" t="shared" si="110" ref="G100:M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/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38</v>
      </c>
      <c r="B101" s="195"/>
      <c r="C101" s="195"/>
      <c r="D101" s="195"/>
      <c r="E101" s="196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/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/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197</v>
      </c>
      <c r="G102" s="92">
        <f aca="true" t="shared" si="113" ref="G102:M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/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39</v>
      </c>
      <c r="B103" s="264"/>
      <c r="C103" s="264"/>
      <c r="D103" s="264"/>
      <c r="E103" s="26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/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</v>
      </c>
      <c r="AJ103" s="168"/>
      <c r="AK103" s="163">
        <f>SUM(G104:AG104)</f>
        <v>0</v>
      </c>
      <c r="AL103" s="164"/>
      <c r="AM103" s="156">
        <f>IF(AK103=0,0,BZ117)</f>
        <v>0</v>
      </c>
      <c r="AN103" s="158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197</v>
      </c>
      <c r="G104" s="93">
        <f aca="true" t="shared" si="116" ref="G104:M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/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40</v>
      </c>
      <c r="B105" s="195"/>
      <c r="C105" s="195"/>
      <c r="D105" s="195"/>
      <c r="E105" s="196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/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0.04</v>
      </c>
      <c r="AJ105" s="168"/>
      <c r="AK105" s="163">
        <f>SUM(G106:AG106)</f>
        <v>0.32</v>
      </c>
      <c r="AL105" s="164"/>
      <c r="AM105" s="156">
        <f>IF(AK105=0,0,CA117)</f>
        <v>58.24</v>
      </c>
      <c r="AN105" s="158">
        <f>AK105*AM105</f>
        <v>18.6368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197</v>
      </c>
      <c r="G106" s="92">
        <f aca="true" t="shared" si="119" ref="G106:M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/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0.32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41</v>
      </c>
      <c r="B107" s="195"/>
      <c r="C107" s="195"/>
      <c r="D107" s="195"/>
      <c r="E107" s="196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/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0.02</v>
      </c>
      <c r="AJ107" s="168"/>
      <c r="AK107" s="163">
        <f>SUM(G108:AG108)</f>
        <v>0.16</v>
      </c>
      <c r="AL107" s="164"/>
      <c r="AM107" s="156">
        <f>IF(AK107=0,0,CB117)</f>
        <v>62</v>
      </c>
      <c r="AN107" s="158">
        <f>AK107*AM107</f>
        <v>9.92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197</v>
      </c>
      <c r="G108" s="92">
        <f aca="true" t="shared" si="122" ref="G108:M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/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0.16</v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241</v>
      </c>
      <c r="B109" s="264"/>
      <c r="C109" s="264"/>
      <c r="D109" s="264"/>
      <c r="E109" s="26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/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197</v>
      </c>
      <c r="G110" s="93">
        <f aca="true" t="shared" si="125" ref="G110:M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/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42</v>
      </c>
      <c r="B111" s="195"/>
      <c r="C111" s="195"/>
      <c r="D111" s="195"/>
      <c r="E111" s="196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/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0.2</v>
      </c>
      <c r="AJ111" s="168"/>
      <c r="AK111" s="163">
        <f>SUM(G112:AG112)</f>
        <v>1.6</v>
      </c>
      <c r="AL111" s="164"/>
      <c r="AM111" s="156">
        <f>IF(AK111=0,0,CD117)</f>
        <v>21.7</v>
      </c>
      <c r="AN111" s="158">
        <f>AK111*AM111</f>
        <v>34.72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197</v>
      </c>
      <c r="G112" s="92">
        <f aca="true" t="shared" si="128" ref="G112:M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/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1.6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43</v>
      </c>
      <c r="B113" s="195"/>
      <c r="C113" s="195"/>
      <c r="D113" s="195"/>
      <c r="E113" s="196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/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197</v>
      </c>
      <c r="G114" s="93">
        <f aca="true" t="shared" si="131" ref="G114:M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/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44</v>
      </c>
      <c r="B115" s="195"/>
      <c r="C115" s="195"/>
      <c r="D115" s="195"/>
      <c r="E115" s="196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260</v>
      </c>
      <c r="N115" s="72"/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0.26</v>
      </c>
      <c r="AJ115" s="168"/>
      <c r="AK115" s="163">
        <f>SUM(G116:AG116)</f>
        <v>2.08</v>
      </c>
      <c r="AL115" s="164"/>
      <c r="AM115" s="156">
        <f>IF(AK115=0,0,CF117)</f>
        <v>16.8</v>
      </c>
      <c r="AN115" s="158">
        <f>AK115*AM115</f>
        <v>34.944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197</v>
      </c>
      <c r="G116" s="92">
        <f aca="true" t="shared" si="134" ref="G116:M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2.08</v>
      </c>
      <c r="N116" s="73"/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349</v>
      </c>
      <c r="B117" s="264"/>
      <c r="C117" s="264"/>
      <c r="D117" s="264"/>
      <c r="E117" s="26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/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197</v>
      </c>
      <c r="G118" s="93">
        <f aca="true" t="shared" si="137" ref="G118:M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/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5" t="s">
        <v>292</v>
      </c>
      <c r="B119" s="195"/>
      <c r="C119" s="195"/>
      <c r="D119" s="195"/>
      <c r="E119" s="196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v>50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0.05</v>
      </c>
      <c r="AJ119" s="168"/>
      <c r="AK119" s="163">
        <f>SUM(G120:AG120)</f>
        <v>0.4</v>
      </c>
      <c r="AL119" s="164"/>
      <c r="AM119" s="156">
        <v>34.8</v>
      </c>
      <c r="AN119" s="158">
        <f>AK119*AM119</f>
        <v>13.92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  <v>0.4</v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360</v>
      </c>
      <c r="B121" s="264"/>
      <c r="C121" s="264"/>
      <c r="D121" s="264"/>
      <c r="E121" s="26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/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197</v>
      </c>
      <c r="G122" s="93">
        <f aca="true" t="shared" si="143" ref="G122:M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/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216</v>
      </c>
      <c r="CE122" s="97">
        <v>35</v>
      </c>
      <c r="DE122" s="61">
        <v>35</v>
      </c>
    </row>
    <row r="123" spans="1:43" ht="30.75" customHeight="1">
      <c r="A123" s="195" t="s">
        <v>253</v>
      </c>
      <c r="B123" s="195"/>
      <c r="C123" s="195"/>
      <c r="D123" s="195"/>
      <c r="E123" s="196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/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197</v>
      </c>
      <c r="G124" s="92">
        <f aca="true" t="shared" si="146" ref="G124:M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/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4" t="s">
        <v>45</v>
      </c>
      <c r="B125" s="264"/>
      <c r="C125" s="264"/>
      <c r="D125" s="264"/>
      <c r="E125" s="26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/>
      <c r="O125" s="39">
        <f>VLOOKUP(обед1,таб,43,FALSE)</f>
        <v>160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0.4</v>
      </c>
      <c r="AJ125" s="168"/>
      <c r="AK125" s="163">
        <f>SUM(G126:AG126)</f>
        <v>3.2</v>
      </c>
      <c r="AL125" s="164"/>
      <c r="AM125" s="156">
        <f>IF(AK125=0,0,CG117)</f>
        <v>13.1</v>
      </c>
      <c r="AN125" s="158">
        <f>AK125*AM125</f>
        <v>41.92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197</v>
      </c>
      <c r="G126" s="93">
        <f aca="true" t="shared" si="149" ref="G126:M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/>
      <c r="O126" s="50">
        <f aca="true" t="shared" si="150" ref="O126:V126">IF(O125=0,"",обідл*O125/1000)</f>
        <v>1.28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1.92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5" t="s">
        <v>334</v>
      </c>
      <c r="B127" s="195"/>
      <c r="C127" s="195"/>
      <c r="D127" s="195"/>
      <c r="E127" s="196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/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</v>
      </c>
      <c r="AJ127" s="168"/>
      <c r="AK127" s="163">
        <f>SUM(G128:AG128)</f>
        <v>0</v>
      </c>
      <c r="AL127" s="164"/>
      <c r="AM127" s="156">
        <f>IF(AK127=0,0,CH117)</f>
        <v>0</v>
      </c>
      <c r="AN127" s="158">
        <f>AK127*AM127</f>
        <v>0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197</v>
      </c>
      <c r="G128" s="92">
        <f aca="true" t="shared" si="152" ref="G128:M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/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46</v>
      </c>
      <c r="B129" s="264"/>
      <c r="C129" s="264"/>
      <c r="D129" s="264"/>
      <c r="E129" s="26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/>
      <c r="O129" s="39">
        <f>VLOOKUP(обед1,таб,45,FALSE)</f>
        <v>20</v>
      </c>
      <c r="P129" s="38">
        <f>VLOOKUP(обед2,таб,45,FALSE)</f>
        <v>0</v>
      </c>
      <c r="Q129" s="37">
        <f>VLOOKUP(обед3,таб,45,FALSE)</f>
        <v>24</v>
      </c>
      <c r="R129" s="38">
        <f>VLOOKUP(обед4,таб,45,FALSE)</f>
        <v>36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18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0.11299999999999999</v>
      </c>
      <c r="AJ129" s="168"/>
      <c r="AK129" s="163">
        <f>SUM(G130:AG130)</f>
        <v>0.9039999999999999</v>
      </c>
      <c r="AL129" s="164"/>
      <c r="AM129" s="156">
        <f>IF(AK129=0,0,CI117)</f>
        <v>5.9</v>
      </c>
      <c r="AN129" s="158">
        <f>AK129*AM129</f>
        <v>5.3336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197</v>
      </c>
      <c r="G130" s="93">
        <f aca="true" t="shared" si="155" ref="G130:M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/>
      <c r="O130" s="50">
        <f aca="true" t="shared" si="156" ref="O130:V130">IF(O129=0,"",обідл*O129/1000)</f>
        <v>0.16</v>
      </c>
      <c r="P130" s="45">
        <f t="shared" si="156"/>
      </c>
      <c r="Q130" s="49">
        <f t="shared" si="156"/>
        <v>0.192</v>
      </c>
      <c r="R130" s="45">
        <f t="shared" si="156"/>
        <v>0.288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0.12</v>
      </c>
      <c r="AB130" s="45">
        <f t="shared" si="157"/>
        <v>0.144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47</v>
      </c>
      <c r="B131" s="195"/>
      <c r="C131" s="195"/>
      <c r="D131" s="195"/>
      <c r="E131" s="196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/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0.054000000000000006</v>
      </c>
      <c r="AJ131" s="168"/>
      <c r="AK131" s="163">
        <f>SUM(G132:AG132)</f>
        <v>0.43200000000000005</v>
      </c>
      <c r="AL131" s="164"/>
      <c r="AM131" s="156">
        <f>IF(AK131=0,0,CJ117)</f>
        <v>7.8</v>
      </c>
      <c r="AN131" s="158">
        <f>AK131*AM131</f>
        <v>3.3696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197</v>
      </c>
      <c r="G132" s="92">
        <f aca="true" t="shared" si="158" ref="G132:M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/>
      <c r="O132" s="48">
        <f aca="true" t="shared" si="159" ref="O132:V132">IF(O131=0,"",обідл*O131/1000)</f>
        <v>0.16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  <v>0.272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336</v>
      </c>
      <c r="B133" s="264"/>
      <c r="C133" s="264"/>
      <c r="D133" s="264"/>
      <c r="E133" s="26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/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197</v>
      </c>
      <c r="G134" s="93">
        <f aca="true" t="shared" si="161" ref="G134:M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/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73</v>
      </c>
      <c r="B135" s="307"/>
      <c r="C135" s="307"/>
      <c r="D135" s="307"/>
      <c r="E135" s="307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/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101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0.101</v>
      </c>
      <c r="AJ135" s="168"/>
      <c r="AK135" s="163">
        <f>SUM(G136:AG136)</f>
        <v>0.808</v>
      </c>
      <c r="AL135" s="164"/>
      <c r="AM135" s="156">
        <f>IF(AK135=0,0,CL117)</f>
        <v>26.5</v>
      </c>
      <c r="AN135" s="158">
        <f>AK135*AM135</f>
        <v>21.412000000000003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197</v>
      </c>
      <c r="G136" s="92">
        <f aca="true" t="shared" si="164" ref="G136:M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/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0.808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48</v>
      </c>
      <c r="B137" s="264"/>
      <c r="C137" s="264"/>
      <c r="D137" s="264"/>
      <c r="E137" s="26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/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160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0.16</v>
      </c>
      <c r="AJ137" s="168"/>
      <c r="AK137" s="163">
        <f>SUM(G138:AG138)</f>
        <v>1.28</v>
      </c>
      <c r="AL137" s="164"/>
      <c r="AM137" s="156">
        <f>IF(AK137=0,0,CO117)</f>
        <v>6.8</v>
      </c>
      <c r="AN137" s="158">
        <f>AK137*AM137</f>
        <v>8.704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197</v>
      </c>
      <c r="G138" s="93">
        <f aca="true" t="shared" si="167" ref="G138:M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/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1.28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8" t="s">
        <v>359</v>
      </c>
      <c r="B139" s="248"/>
      <c r="C139" s="248"/>
      <c r="D139" s="248"/>
      <c r="E139" s="249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/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8"/>
      <c r="B140" s="248"/>
      <c r="C140" s="248"/>
      <c r="D140" s="248"/>
      <c r="E140" s="249"/>
      <c r="F140" s="84" t="s">
        <v>197</v>
      </c>
      <c r="G140" s="92">
        <f aca="true" t="shared" si="170" ref="G140:M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/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252</v>
      </c>
      <c r="CK140">
        <v>100</v>
      </c>
      <c r="DE140" s="61">
        <v>100</v>
      </c>
    </row>
    <row r="141" spans="1:109" ht="30.75" customHeight="1">
      <c r="A141" s="264" t="s">
        <v>49</v>
      </c>
      <c r="B141" s="264"/>
      <c r="C141" s="264"/>
      <c r="D141" s="264"/>
      <c r="E141" s="26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/>
      <c r="O141" s="39">
        <f>VLOOKUP(обед1,таб,49,FALSE)</f>
        <v>0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0.002</v>
      </c>
      <c r="AJ141" s="168"/>
      <c r="AK141" s="163">
        <f>SUM(G142:AG142)</f>
        <v>0.016</v>
      </c>
      <c r="AL141" s="164"/>
      <c r="AM141" s="156">
        <f>IF(AK141=0,0,CM117)</f>
        <v>52.8</v>
      </c>
      <c r="AN141" s="158">
        <f>AK141*AM141</f>
        <v>0.8448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197</v>
      </c>
      <c r="G142" s="93">
        <f aca="true" t="shared" si="173" ref="G142:M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/>
      <c r="O142" s="50">
        <f aca="true" t="shared" si="174" ref="O142:V142">IF(O141=0,"",обідл*O141/1000)</f>
      </c>
      <c r="P142" s="45">
        <f t="shared" si="174"/>
      </c>
      <c r="Q142" s="49">
        <f t="shared" si="174"/>
        <v>0.008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0.008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255</v>
      </c>
      <c r="AY142">
        <v>200</v>
      </c>
      <c r="DE142" s="61">
        <v>200</v>
      </c>
    </row>
    <row r="143" spans="1:109" ht="30.75" customHeight="1">
      <c r="A143" s="195" t="s">
        <v>82</v>
      </c>
      <c r="B143" s="195"/>
      <c r="C143" s="195"/>
      <c r="D143" s="195"/>
      <c r="E143" s="196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/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</v>
      </c>
      <c r="AJ143" s="168"/>
      <c r="AK143" s="163">
        <f>SUM(G144:AG144)</f>
        <v>0</v>
      </c>
      <c r="AL143" s="164"/>
      <c r="AM143" s="156">
        <f>IF(AK143=0,0,DF117)</f>
        <v>0</v>
      </c>
      <c r="AN143" s="158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5"/>
      <c r="B144" s="195"/>
      <c r="C144" s="195"/>
      <c r="D144" s="195"/>
      <c r="E144" s="196"/>
      <c r="F144" s="84" t="s">
        <v>197</v>
      </c>
      <c r="G144" s="92">
        <f aca="true" t="shared" si="176" ref="G144:M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/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50</v>
      </c>
      <c r="B145" s="264"/>
      <c r="C145" s="264"/>
      <c r="D145" s="264"/>
      <c r="E145" s="26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/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</v>
      </c>
      <c r="AJ145" s="168"/>
      <c r="AK145" s="163">
        <f>SUM(G146:AG146)</f>
        <v>0</v>
      </c>
      <c r="AL145" s="164"/>
      <c r="AM145" s="156">
        <f>IF(AK145=0,0,CP117)</f>
        <v>0</v>
      </c>
      <c r="AN145" s="158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197</v>
      </c>
      <c r="G146" s="93">
        <f aca="true" t="shared" si="179" ref="G146:M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/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259</v>
      </c>
      <c r="CT146">
        <v>65</v>
      </c>
      <c r="DE146" s="61">
        <v>65</v>
      </c>
    </row>
    <row r="147" spans="1:109" ht="30.75" customHeight="1">
      <c r="A147" s="195" t="s">
        <v>51</v>
      </c>
      <c r="B147" s="195"/>
      <c r="C147" s="195"/>
      <c r="D147" s="195"/>
      <c r="E147" s="196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/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0.45000000000000007</v>
      </c>
      <c r="AJ147" s="168"/>
      <c r="AK147" s="163">
        <f>SUM(G148:AG148)</f>
        <v>3.6000000000000005</v>
      </c>
      <c r="AL147" s="164"/>
      <c r="AM147" s="156">
        <f>IF(AK147=0,0,CQ117)</f>
        <v>13.8</v>
      </c>
      <c r="AN147" s="158">
        <f>AK147*AM147</f>
        <v>49.68000000000001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197</v>
      </c>
      <c r="G148" s="92">
        <f aca="true" t="shared" si="182" ref="G148:M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0.8</v>
      </c>
      <c r="L148" s="46">
        <f t="shared" si="182"/>
      </c>
      <c r="M148" s="46">
        <f t="shared" si="182"/>
      </c>
      <c r="N148" s="73"/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261</v>
      </c>
      <c r="DE148" s="61">
        <v>40</v>
      </c>
      <c r="DG148">
        <v>40</v>
      </c>
    </row>
    <row r="149" spans="1:109" ht="30.75" customHeight="1">
      <c r="A149" s="264" t="s">
        <v>52</v>
      </c>
      <c r="B149" s="264"/>
      <c r="C149" s="264"/>
      <c r="D149" s="264"/>
      <c r="E149" s="26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/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197</v>
      </c>
      <c r="G150" s="93">
        <f aca="true" t="shared" si="185" ref="G150:M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/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353</v>
      </c>
      <c r="B151" s="248"/>
      <c r="C151" s="248"/>
      <c r="D151" s="248"/>
      <c r="E151" s="249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/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197</v>
      </c>
      <c r="G152" s="92">
        <f aca="true" t="shared" si="188" ref="G152:M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/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348</v>
      </c>
      <c r="B153" s="264"/>
      <c r="C153" s="264"/>
      <c r="D153" s="264"/>
      <c r="E153" s="26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/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197</v>
      </c>
      <c r="G154" s="48">
        <f aca="true" t="shared" si="191" ref="G154:M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/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325</v>
      </c>
      <c r="B155" s="195"/>
      <c r="C155" s="195"/>
      <c r="D155" s="195"/>
      <c r="E155" s="196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/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197</v>
      </c>
      <c r="G156" s="92">
        <f aca="true" t="shared" si="194" ref="G156:M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/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54</v>
      </c>
      <c r="B157" s="264"/>
      <c r="C157" s="264"/>
      <c r="D157" s="264"/>
      <c r="E157" s="26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/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0.002</v>
      </c>
      <c r="AJ157" s="168"/>
      <c r="AK157" s="163">
        <f>SUM(G158:AG158)</f>
        <v>0.016</v>
      </c>
      <c r="AL157" s="164"/>
      <c r="AM157" s="156">
        <f>IF(AK157=0,0,CV117)</f>
        <v>150</v>
      </c>
      <c r="AN157" s="158">
        <f>AK157*AM157</f>
        <v>2.4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197</v>
      </c>
      <c r="G158" s="93">
        <f aca="true" t="shared" si="197" ref="G158:M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0.016</v>
      </c>
      <c r="M158" s="46">
        <f t="shared" si="197"/>
      </c>
      <c r="N158" s="73"/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53</v>
      </c>
      <c r="B159" s="195"/>
      <c r="C159" s="195"/>
      <c r="D159" s="195"/>
      <c r="E159" s="196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/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</v>
      </c>
      <c r="AJ159" s="168"/>
      <c r="AK159" s="163">
        <f>SUM(G160:AG160)</f>
        <v>0</v>
      </c>
      <c r="AL159" s="164"/>
      <c r="AM159" s="156">
        <f>IF(AK159=0,0,CW117)</f>
        <v>0</v>
      </c>
      <c r="AN159" s="158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197</v>
      </c>
      <c r="G160" s="92">
        <f aca="true" t="shared" si="200" ref="G160:M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/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/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</v>
      </c>
      <c r="AJ161" s="168"/>
      <c r="AK161" s="163">
        <f>SUM(G162:AG162)</f>
        <v>0</v>
      </c>
      <c r="AL161" s="164"/>
      <c r="AM161" s="156">
        <f>IF(AK161=0,0,CX117)</f>
        <v>0</v>
      </c>
      <c r="AN161" s="158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197</v>
      </c>
      <c r="G162" s="93">
        <f aca="true" t="shared" si="203" ref="G162:M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/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55</v>
      </c>
      <c r="B163" s="195"/>
      <c r="C163" s="195"/>
      <c r="D163" s="195"/>
      <c r="E163" s="196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/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0.08</v>
      </c>
      <c r="AL163" s="164"/>
      <c r="AM163" s="156">
        <f>IF(AK163=0,0,CY117)</f>
        <v>10.24</v>
      </c>
      <c r="AN163" s="158">
        <f>AK163*AM163</f>
        <v>0.8192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197</v>
      </c>
      <c r="G164" s="92">
        <f aca="true" t="shared" si="206" ref="G164:M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/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56</v>
      </c>
      <c r="B165" s="264"/>
      <c r="C165" s="264"/>
      <c r="D165" s="264"/>
      <c r="E165" s="26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/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0.001</v>
      </c>
      <c r="AJ165" s="168"/>
      <c r="AK165" s="163">
        <f>SUM(G166:AG166)</f>
        <v>0.008</v>
      </c>
      <c r="AL165" s="164"/>
      <c r="AM165" s="156">
        <f>IF(AK165=0,0,CZ117)</f>
        <v>190</v>
      </c>
      <c r="AN165" s="158">
        <f>AK165*AM165</f>
        <v>1.52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62"/>
      <c r="B166" s="262"/>
      <c r="C166" s="262"/>
      <c r="D166" s="262"/>
      <c r="E166" s="263"/>
      <c r="F166" s="84" t="s">
        <v>197</v>
      </c>
      <c r="G166" s="93">
        <f aca="true" t="shared" si="209" ref="G166:M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/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0.008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57</v>
      </c>
      <c r="B167" s="195"/>
      <c r="C167" s="195"/>
      <c r="D167" s="195"/>
      <c r="E167" s="196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/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197</v>
      </c>
      <c r="G168" s="96">
        <f aca="true" t="shared" si="212" ref="G168:M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/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58</v>
      </c>
      <c r="B169" s="195"/>
      <c r="C169" s="195"/>
      <c r="D169" s="195"/>
      <c r="E169" s="196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/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197</v>
      </c>
      <c r="G170" s="92">
        <f aca="true" t="shared" si="215" ref="G170:M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/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59</v>
      </c>
      <c r="B171" s="195"/>
      <c r="C171" s="195"/>
      <c r="D171" s="195"/>
      <c r="E171" s="196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/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</v>
      </c>
      <c r="AJ171" s="168"/>
      <c r="AK171" s="163">
        <f>SUM(G172:AG172)</f>
        <v>0</v>
      </c>
      <c r="AL171" s="164"/>
      <c r="AM171" s="156">
        <f>IF(AK171=0,0,DC117)</f>
        <v>0</v>
      </c>
      <c r="AN171" s="158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197</v>
      </c>
      <c r="G172" s="93">
        <f aca="true" t="shared" si="218" ref="G172:M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/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153</v>
      </c>
      <c r="B173" s="195"/>
      <c r="C173" s="195"/>
      <c r="D173" s="195"/>
      <c r="E173" s="196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/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197</v>
      </c>
      <c r="G174" s="92">
        <f aca="true" t="shared" si="221" ref="G174:M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/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154</v>
      </c>
      <c r="B175" s="248"/>
      <c r="C175" s="248"/>
      <c r="D175" s="248"/>
      <c r="E175" s="249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/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</v>
      </c>
      <c r="AL175" s="164"/>
      <c r="AM175" s="156">
        <f>IF(AK175=0,0,DI117)</f>
        <v>0</v>
      </c>
      <c r="AN175" s="158">
        <f>AK175*AM175</f>
        <v>0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197</v>
      </c>
      <c r="G176" s="92">
        <f aca="true" t="shared" si="224" ref="G176:M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/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318</v>
      </c>
      <c r="B177" s="248"/>
      <c r="C177" s="248"/>
      <c r="D177" s="248"/>
      <c r="E177" s="249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/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</v>
      </c>
      <c r="AJ177" s="168"/>
      <c r="AK177" s="163">
        <f>SUM(G178:AG178)</f>
        <v>0</v>
      </c>
      <c r="AL177" s="164"/>
      <c r="AM177" s="156">
        <f>IF(AK177=0,0,AW117)</f>
        <v>0</v>
      </c>
      <c r="AN177" s="158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197</v>
      </c>
      <c r="G178" s="92">
        <f aca="true" t="shared" si="227" ref="G178:M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/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253</v>
      </c>
      <c r="DE178" s="61">
        <v>2</v>
      </c>
      <c r="DX178">
        <v>2</v>
      </c>
    </row>
    <row r="179" spans="1:121" ht="30.75" customHeight="1">
      <c r="A179" s="313" t="s">
        <v>316</v>
      </c>
      <c r="B179" s="314"/>
      <c r="C179" s="314"/>
      <c r="D179" s="314"/>
      <c r="E179" s="315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/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197</v>
      </c>
      <c r="G180" s="92">
        <f aca="true" t="shared" si="230" ref="G180:M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/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61" t="s">
        <v>357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208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282</v>
      </c>
      <c r="AI181" s="60"/>
      <c r="AJ181" s="60"/>
      <c r="AK181" s="60"/>
      <c r="AL181" s="60"/>
      <c r="AM181" s="155">
        <f>SUM(AN25:AN178)</f>
        <v>752.9992319999999</v>
      </c>
      <c r="AN181" s="155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209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210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211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212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2021-04-30T07:22:16Z</cp:lastPrinted>
  <dcterms:created xsi:type="dcterms:W3CDTF">1996-10-08T23:32:33Z</dcterms:created>
  <dcterms:modified xsi:type="dcterms:W3CDTF">2021-05-04T06:58:34Z</dcterms:modified>
  <cp:category/>
  <cp:version/>
  <cp:contentType/>
  <cp:contentStatus/>
</cp:coreProperties>
</file>